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FICHA COMUNAL 2019\SEPTIEMBRE\"/>
    </mc:Choice>
  </mc:AlternateContent>
  <xr:revisionPtr revIDLastSave="0" documentId="8_{CC14A07A-0A37-4201-9167-926B3F41B64E}" xr6:coauthVersionLast="44" xr6:coauthVersionMax="44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61" i="1" l="1"/>
  <c r="O61" i="1"/>
  <c r="N61" i="1"/>
  <c r="L61" i="1"/>
  <c r="K61" i="1"/>
  <c r="I61" i="1"/>
  <c r="F61" i="1"/>
  <c r="M60" i="1"/>
  <c r="M61" i="1" s="1"/>
  <c r="J60" i="1"/>
  <c r="J61" i="1" s="1"/>
  <c r="H60" i="1"/>
  <c r="Q59" i="1"/>
  <c r="R59" i="1" s="1"/>
  <c r="Q58" i="1"/>
  <c r="D58" i="1"/>
  <c r="Q57" i="1"/>
  <c r="R57" i="1" s="1"/>
  <c r="Q56" i="1"/>
  <c r="D56" i="1"/>
  <c r="C56" i="1"/>
  <c r="Q55" i="1"/>
  <c r="R55" i="1" s="1"/>
  <c r="Q54" i="1"/>
  <c r="R54" i="1" s="1"/>
  <c r="Q53" i="1"/>
  <c r="R53" i="1" s="1"/>
  <c r="Q52" i="1"/>
  <c r="R52" i="1" s="1"/>
  <c r="Q51" i="1"/>
  <c r="R51" i="1" s="1"/>
  <c r="Q50" i="1"/>
  <c r="R50" i="1" s="1"/>
  <c r="Q49" i="1"/>
  <c r="D49" i="1"/>
  <c r="C49" i="1"/>
  <c r="Q48" i="1"/>
  <c r="D48" i="1"/>
  <c r="Q47" i="1"/>
  <c r="R47" i="1" s="1"/>
  <c r="Q46" i="1"/>
  <c r="D46" i="1"/>
  <c r="Q45" i="1"/>
  <c r="R45" i="1" s="1"/>
  <c r="Q44" i="1"/>
  <c r="D44" i="1"/>
  <c r="Q43" i="1"/>
  <c r="R43" i="1" s="1"/>
  <c r="Q42" i="1"/>
  <c r="R42" i="1" s="1"/>
  <c r="Q41" i="1"/>
  <c r="D41" i="1"/>
  <c r="R41" i="1" s="1"/>
  <c r="Q40" i="1"/>
  <c r="R40" i="1" s="1"/>
  <c r="Q39" i="1"/>
  <c r="R39" i="1" s="1"/>
  <c r="Q38" i="1"/>
  <c r="R38" i="1" s="1"/>
  <c r="H37" i="1"/>
  <c r="Q37" i="1" s="1"/>
  <c r="H36" i="1"/>
  <c r="D36" i="1" s="1"/>
  <c r="H35" i="1"/>
  <c r="D35" i="1" s="1"/>
  <c r="H34" i="1"/>
  <c r="D34" i="1" s="1"/>
  <c r="Q33" i="1"/>
  <c r="R9" i="1" s="1"/>
  <c r="D33" i="1"/>
  <c r="Q32" i="1"/>
  <c r="R32" i="1" s="1"/>
  <c r="Q31" i="1"/>
  <c r="R31" i="1" s="1"/>
  <c r="Q30" i="1"/>
  <c r="R30" i="1" s="1"/>
  <c r="Q29" i="1"/>
  <c r="D29" i="1"/>
  <c r="Q28" i="1"/>
  <c r="R28" i="1" s="1"/>
  <c r="Q27" i="1"/>
  <c r="R27" i="1" s="1"/>
  <c r="G26" i="1"/>
  <c r="D26" i="1" s="1"/>
  <c r="C26" i="1"/>
  <c r="Q25" i="1"/>
  <c r="D25" i="1"/>
  <c r="C25" i="1"/>
  <c r="Q24" i="1"/>
  <c r="R24" i="1" s="1"/>
  <c r="Q23" i="1"/>
  <c r="D23" i="1"/>
  <c r="Q22" i="1"/>
  <c r="D22" i="1"/>
  <c r="C22" i="1"/>
  <c r="Q21" i="1"/>
  <c r="D21" i="1"/>
  <c r="Q20" i="1"/>
  <c r="D20" i="1"/>
  <c r="C20" i="1"/>
  <c r="Q19" i="1"/>
  <c r="D19" i="1"/>
  <c r="C19" i="1"/>
  <c r="Q18" i="1"/>
  <c r="D18" i="1"/>
  <c r="E17" i="1"/>
  <c r="E61" i="1" s="1"/>
  <c r="Q16" i="1"/>
  <c r="D16" i="1"/>
  <c r="C16" i="1"/>
  <c r="G15" i="1"/>
  <c r="Q15" i="1" s="1"/>
  <c r="C15" i="1"/>
  <c r="D17" i="1" l="1"/>
  <c r="R20" i="1"/>
  <c r="R25" i="1"/>
  <c r="Q34" i="1"/>
  <c r="R34" i="1" s="1"/>
  <c r="R16" i="1"/>
  <c r="R18" i="1"/>
  <c r="R21" i="1"/>
  <c r="R22" i="1"/>
  <c r="D37" i="1"/>
  <c r="R37" i="1" s="1"/>
  <c r="R49" i="1"/>
  <c r="Q36" i="1"/>
  <c r="R36" i="1" s="1"/>
  <c r="R48" i="1"/>
  <c r="R56" i="1"/>
  <c r="G61" i="1"/>
  <c r="Q17" i="1"/>
  <c r="Q26" i="1"/>
  <c r="R26" i="1" s="1"/>
  <c r="Q35" i="1"/>
  <c r="R35" i="1" s="1"/>
  <c r="C17" i="1"/>
  <c r="C61" i="1" s="1"/>
  <c r="R19" i="1"/>
  <c r="R23" i="1"/>
  <c r="R29" i="1"/>
  <c r="R33" i="1"/>
  <c r="R12" i="1" s="1"/>
  <c r="R44" i="1"/>
  <c r="R46" i="1"/>
  <c r="R58" i="1"/>
  <c r="Q60" i="1"/>
  <c r="D15" i="1"/>
  <c r="H61" i="1"/>
  <c r="D60" i="1"/>
  <c r="R17" i="1" l="1"/>
  <c r="R60" i="1"/>
  <c r="Q61" i="1"/>
  <c r="R15" i="1"/>
  <c r="D61" i="1"/>
  <c r="R6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Brisa Pasten</author>
  </authors>
  <commentList>
    <comment ref="R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Brisa Pasten:</t>
        </r>
        <r>
          <rPr>
            <sz val="9"/>
            <color indexed="81"/>
            <rFont val="Tahoma"/>
            <family val="2"/>
          </rPr>
          <t xml:space="preserve">
lo q no se ha trasnferido a la comuna</t>
        </r>
      </text>
    </comment>
  </commentList>
</comments>
</file>

<file path=xl/sharedStrings.xml><?xml version="1.0" encoding="utf-8"?>
<sst xmlns="http://schemas.openxmlformats.org/spreadsheetml/2006/main" count="103" uniqueCount="82">
  <si>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</si>
  <si>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</si>
  <si>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</si>
  <si>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</si>
  <si>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</si>
  <si>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</si>
  <si>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QUILLOTA</t>
  </si>
  <si>
    <t>Rut: 69.260.400-8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</si>
  <si>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</si>
  <si>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</si>
  <si>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</si>
  <si>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</si>
  <si>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</si>
  <si>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</si>
  <si>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</si>
  <si>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</si>
  <si>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</si>
  <si>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</si>
  <si>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</si>
  <si>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</si>
  <si>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</si>
  <si>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</si>
  <si>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</si>
  <si>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</si>
  <si>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</si>
  <si>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</si>
  <si>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</si>
  <si>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</si>
  <si>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Percapita anual</t>
  </si>
  <si>
    <t>Ley</t>
  </si>
  <si>
    <t>Desempeño  Dificil</t>
  </si>
  <si>
    <t>Tans a Caregoria C</t>
  </si>
  <si>
    <t>Tans a Caregoria C 2018</t>
  </si>
  <si>
    <t>Conductores</t>
  </si>
  <si>
    <t>Integr. Diferen. Ley 19,813</t>
  </si>
  <si>
    <t>Chile Crece Contigo</t>
  </si>
  <si>
    <t>Descuento Retiro Voluntario Ley 20,919</t>
  </si>
  <si>
    <t>Incentivo Retiro + Bonificacion</t>
  </si>
  <si>
    <t xml:space="preserve">Desarrollo Recursos Humanos </t>
  </si>
  <si>
    <t>Reforzamiento SAPU</t>
  </si>
  <si>
    <t>1381-1378</t>
  </si>
  <si>
    <t>SAPU ADD</t>
  </si>
  <si>
    <t>Cirugia Menor</t>
  </si>
  <si>
    <t xml:space="preserve">Resolucion Especialidades </t>
  </si>
  <si>
    <t>Salas Ira Mixtas</t>
  </si>
  <si>
    <t>C I  Refuerzo Influencia Vacunación Valentina</t>
  </si>
  <si>
    <t>Salud Oral 06 Años</t>
  </si>
  <si>
    <t>Odontologico 60 Años ( Adulto)</t>
  </si>
  <si>
    <t xml:space="preserve"> Cecosf</t>
  </si>
  <si>
    <t>(Nuevo) Niños 4° Medio</t>
  </si>
  <si>
    <t>Hombres Escasos Recursos (HER)</t>
  </si>
  <si>
    <t>Odontologia Domiciliaria</t>
  </si>
  <si>
    <t>Mas Sonrisa</t>
  </si>
  <si>
    <t>Sembrando Sonrisas</t>
  </si>
  <si>
    <t>Salud Mental Infantil PASMI</t>
  </si>
  <si>
    <t>Adolescentes</t>
  </si>
  <si>
    <t>Rehabilitacion Integral</t>
  </si>
  <si>
    <t>Estimulo CESFAM MAIS</t>
  </si>
  <si>
    <t>Acompañamiento Niños Riesgo Social</t>
  </si>
  <si>
    <t>Capacitacion Y Formaciòn APS</t>
  </si>
  <si>
    <t>Adultos Atovalentes</t>
  </si>
  <si>
    <t>Imágenes Diagnosticas</t>
  </si>
  <si>
    <t>Piloto Salud Escolar</t>
  </si>
  <si>
    <t xml:space="preserve">Vacunacion Antiinfluenza AGLReferente Valentina </t>
  </si>
  <si>
    <t>Vida Sana</t>
  </si>
  <si>
    <t>1875-3979 ADD</t>
  </si>
  <si>
    <t>Apoyo a la Gestion Digitadres</t>
  </si>
  <si>
    <t>Subsal CI DR. Armijo Refuerzo medico y Paramedico SAPU</t>
  </si>
  <si>
    <t>Refuerzo Equipo Salud Enfermedades Respiratorias Sapu</t>
  </si>
  <si>
    <t>Mejoram. Acceso Atencion Odontologica</t>
  </si>
  <si>
    <t>Programa DIR  ( EX-Intervenciones Breves en Alcohol)</t>
  </si>
  <si>
    <t>Apoyo Gestion Buenas Practicas</t>
  </si>
  <si>
    <t>Fortalecimiento Medicina Familiar</t>
  </si>
  <si>
    <t xml:space="preserve">Fondo Farmacia Enfermedades Cronicas </t>
  </si>
  <si>
    <t>TR 28</t>
  </si>
  <si>
    <t>Fondo Farmacia Enfermedades Cronicas 2018</t>
  </si>
  <si>
    <t>Sename</t>
  </si>
  <si>
    <t>Desempeño Colectivo  Fijo/Variable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</si>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</sst>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_-;\-* #,##0_-;_-* &quot;-&quot;??_-;_-@_-"/>
    <numFmt numFmtId="166" formatCode="_-[$$-340A]\ * #,##0_-;\-[$$-340A]\ * #,##0_-;_-[$$-340A]\ * &quot;-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0"/>
      <name val="Arial"/>
      <family val="2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4"/>
      <name val="Bookman Old Style"/>
      <family val="1"/>
    </font>
    <font>
      <b/>
      <sz val="14"/>
      <name val="Bookman Old Style"/>
      <family val="1"/>
    </font>
    <font>
      <b/>
      <i/>
      <sz val="14"/>
      <name val="Bookman Old Style"/>
      <family val="1"/>
    </font>
    <font>
      <b/>
      <sz val="14"/>
      <color indexed="63"/>
      <name val="Bookman Old Style"/>
      <family val="1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7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4" fillId="2" borderId="0" xfId="0" applyFont="1" applyFill="1" applyAlignment="1"/>
    <xf numFmtId="0" fontId="0" fillId="2" borderId="0" xfId="0" applyFill="1"/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6" fillId="2" borderId="0" xfId="0" applyFont="1" applyFill="1" applyAlignment="1"/>
    <xf numFmtId="0" fontId="11" fillId="2" borderId="0" xfId="0" applyFont="1" applyFill="1"/>
    <xf numFmtId="0" fontId="12" fillId="2" borderId="0" xfId="0" applyFont="1" applyFill="1"/>
    <xf numFmtId="0" fontId="12" fillId="2" borderId="0" xfId="0" applyFont="1" applyFill="1" applyAlignment="1">
      <alignment horizontal="center"/>
    </xf>
    <xf numFmtId="0" fontId="13" fillId="2" borderId="0" xfId="0" applyFont="1" applyFill="1"/>
    <xf numFmtId="0" fontId="14" fillId="2" borderId="0" xfId="0" applyFont="1" applyFill="1"/>
    <xf numFmtId="165" fontId="4" fillId="2" borderId="0" xfId="1" applyNumberFormat="1" applyFont="1" applyFill="1"/>
    <xf numFmtId="166" fontId="4" fillId="2" borderId="0" xfId="0" applyNumberFormat="1" applyFont="1" applyFill="1"/>
    <xf numFmtId="0" fontId="15" fillId="2" borderId="0" xfId="0" applyFont="1" applyFill="1" applyAlignment="1">
      <alignment horizontal="right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165" fontId="5" fillId="2" borderId="0" xfId="0" applyNumberFormat="1" applyFont="1" applyFill="1"/>
    <xf numFmtId="0" fontId="17" fillId="0" borderId="0" xfId="0" applyFont="1" applyFill="1"/>
    <xf numFmtId="0" fontId="18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16" fontId="18" fillId="3" borderId="1" xfId="0" applyNumberFormat="1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4" borderId="5" xfId="2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8" fillId="4" borderId="4" xfId="2" applyFont="1" applyFill="1" applyBorder="1" applyAlignment="1">
      <alignment horizontal="center" vertical="center" wrapText="1"/>
    </xf>
    <xf numFmtId="166" fontId="17" fillId="0" borderId="6" xfId="2" applyNumberFormat="1" applyFont="1" applyFill="1" applyBorder="1" applyAlignment="1">
      <alignment horizontal="center" vertical="center" wrapText="1"/>
    </xf>
    <xf numFmtId="166" fontId="18" fillId="0" borderId="7" xfId="0" applyNumberFormat="1" applyFont="1" applyFill="1" applyBorder="1" applyAlignment="1">
      <alignment horizontal="right" vertical="center"/>
    </xf>
    <xf numFmtId="166" fontId="18" fillId="0" borderId="8" xfId="1" applyNumberFormat="1" applyFont="1" applyFill="1" applyBorder="1"/>
    <xf numFmtId="166" fontId="18" fillId="0" borderId="7" xfId="1" applyNumberFormat="1" applyFont="1" applyFill="1" applyBorder="1"/>
    <xf numFmtId="166" fontId="18" fillId="2" borderId="8" xfId="1" applyNumberFormat="1" applyFont="1" applyFill="1" applyBorder="1"/>
    <xf numFmtId="166" fontId="18" fillId="5" borderId="8" xfId="1" applyNumberFormat="1" applyFont="1" applyFill="1" applyBorder="1"/>
    <xf numFmtId="166" fontId="17" fillId="0" borderId="9" xfId="2" applyNumberFormat="1" applyFont="1" applyFill="1" applyBorder="1" applyAlignment="1">
      <alignment horizontal="center" vertical="center" wrapText="1"/>
    </xf>
    <xf numFmtId="166" fontId="18" fillId="0" borderId="10" xfId="0" applyNumberFormat="1" applyFont="1" applyFill="1" applyBorder="1" applyAlignment="1">
      <alignment horizontal="right" vertical="center"/>
    </xf>
    <xf numFmtId="166" fontId="18" fillId="0" borderId="11" xfId="1" applyNumberFormat="1" applyFont="1" applyFill="1" applyBorder="1"/>
    <xf numFmtId="166" fontId="18" fillId="0" borderId="10" xfId="1" applyNumberFormat="1" applyFont="1" applyFill="1" applyBorder="1"/>
    <xf numFmtId="166" fontId="18" fillId="2" borderId="11" xfId="1" applyNumberFormat="1" applyFont="1" applyFill="1" applyBorder="1"/>
    <xf numFmtId="166" fontId="18" fillId="5" borderId="11" xfId="1" applyNumberFormat="1" applyFont="1" applyFill="1" applyBorder="1"/>
    <xf numFmtId="166" fontId="18" fillId="0" borderId="11" xfId="0" applyNumberFormat="1" applyFont="1" applyFill="1" applyBorder="1"/>
    <xf numFmtId="166" fontId="17" fillId="0" borderId="9" xfId="2" applyNumberFormat="1" applyFont="1" applyFill="1" applyBorder="1" applyAlignment="1">
      <alignment vertical="center" wrapText="1"/>
    </xf>
    <xf numFmtId="166" fontId="17" fillId="0" borderId="12" xfId="2" applyNumberFormat="1" applyFont="1" applyFill="1" applyBorder="1" applyAlignment="1">
      <alignment vertical="center" wrapText="1"/>
    </xf>
    <xf numFmtId="166" fontId="17" fillId="0" borderId="6" xfId="2" applyNumberFormat="1" applyFont="1" applyFill="1" applyBorder="1" applyAlignment="1">
      <alignment vertical="center" wrapText="1"/>
    </xf>
    <xf numFmtId="166" fontId="17" fillId="0" borderId="13" xfId="2" applyNumberFormat="1" applyFont="1" applyFill="1" applyBorder="1" applyAlignment="1">
      <alignment vertical="center" wrapText="1"/>
    </xf>
    <xf numFmtId="3" fontId="20" fillId="3" borderId="3" xfId="2" applyNumberFormat="1" applyFont="1" applyFill="1" applyBorder="1" applyAlignment="1">
      <alignment horizontal="left" vertical="center" wrapText="1"/>
    </xf>
    <xf numFmtId="0" fontId="18" fillId="4" borderId="1" xfId="2" applyFont="1" applyFill="1" applyBorder="1" applyAlignment="1">
      <alignment horizontal="center" vertical="center" wrapText="1"/>
    </xf>
    <xf numFmtId="166" fontId="18" fillId="3" borderId="15" xfId="0" applyNumberFormat="1" applyFont="1" applyFill="1" applyBorder="1" applyAlignment="1">
      <alignment horizontal="right" vertical="center"/>
    </xf>
    <xf numFmtId="166" fontId="18" fillId="3" borderId="3" xfId="0" applyNumberFormat="1" applyFont="1" applyFill="1" applyBorder="1" applyAlignment="1">
      <alignment horizontal="right" vertical="center"/>
    </xf>
    <xf numFmtId="166" fontId="18" fillId="3" borderId="1" xfId="0" applyNumberFormat="1" applyFont="1" applyFill="1" applyBorder="1" applyAlignment="1">
      <alignment horizontal="right" vertical="center"/>
    </xf>
    <xf numFmtId="0" fontId="21" fillId="2" borderId="0" xfId="0" applyFont="1" applyFill="1" applyBorder="1"/>
    <xf numFmtId="0" fontId="16" fillId="2" borderId="0" xfId="0" applyFont="1" applyFill="1" applyBorder="1" applyAlignment="1">
      <alignment horizontal="center"/>
    </xf>
    <xf numFmtId="165" fontId="21" fillId="2" borderId="0" xfId="1" applyNumberFormat="1" applyFont="1" applyFill="1" applyBorder="1"/>
    <xf numFmtId="166" fontId="21" fillId="2" borderId="0" xfId="0" applyNumberFormat="1" applyFont="1" applyFill="1" applyBorder="1"/>
    <xf numFmtId="0" fontId="21" fillId="2" borderId="5" xfId="0" applyFont="1" applyFill="1" applyBorder="1"/>
    <xf numFmtId="0" fontId="21" fillId="2" borderId="2" xfId="0" applyFont="1" applyFill="1" applyBorder="1"/>
    <xf numFmtId="0" fontId="16" fillId="2" borderId="2" xfId="0" applyFont="1" applyFill="1" applyBorder="1" applyAlignment="1">
      <alignment horizontal="center"/>
    </xf>
    <xf numFmtId="0" fontId="16" fillId="2" borderId="16" xfId="0" applyFont="1" applyFill="1" applyBorder="1" applyAlignment="1">
      <alignment horizontal="center"/>
    </xf>
    <xf numFmtId="0" fontId="0" fillId="2" borderId="18" xfId="0" applyFill="1" applyBorder="1"/>
    <xf numFmtId="0" fontId="0" fillId="2" borderId="19" xfId="0" applyFill="1" applyBorder="1"/>
    <xf numFmtId="0" fontId="0" fillId="2" borderId="19" xfId="0" applyFill="1" applyBorder="1" applyAlignment="1">
      <alignment horizontal="center"/>
    </xf>
    <xf numFmtId="0" fontId="0" fillId="2" borderId="20" xfId="0" applyFill="1" applyBorder="1"/>
    <xf numFmtId="0" fontId="10" fillId="2" borderId="0" xfId="0" applyFont="1" applyFill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18" fillId="2" borderId="17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9"/>
  <sheetViews>
    <sheetView tabSelected="1" zoomScale="70" zoomScaleNormal="70" workbookViewId="0">
      <selection activeCell="A64" sqref="A64"/>
    </sheetView>
  </sheetViews>
  <sheetFormatPr baseColWidth="10" defaultRowHeight="15" x14ac:dyDescent="0.25"/>
  <cols>
    <col min="1" max="1" width="63.140625" bestFit="1" customWidth="1"/>
    <col min="2" max="2" width="46.28515625" bestFit="1" customWidth="1"/>
    <col min="3" max="3" width="27.85546875" bestFit="1" customWidth="1"/>
    <col min="4" max="4" width="34.85546875" bestFit="1" customWidth="1"/>
    <col min="5" max="7" width="25" bestFit="1" customWidth="1"/>
    <col min="8" max="8" width="27.7109375" bestFit="1" customWidth="1"/>
    <col min="9" max="13" width="25" bestFit="1" customWidth="1"/>
    <col min="14" max="16" width="18.28515625" bestFit="1" customWidth="1"/>
    <col min="17" max="17" width="27.5703125" bestFit="1" customWidth="1"/>
    <col min="18" max="18" width="23.140625" bestFit="1" customWidth="1"/>
  </cols>
  <sheetData>
    <row r="1" spans="1:18" ht="20.25" x14ac:dyDescent="0.3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20.25" x14ac:dyDescent="0.3">
      <c r="A2" s="1" t="s">
        <v>1</v>
      </c>
      <c r="B2" s="2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20.25" x14ac:dyDescent="0.3">
      <c r="A3" s="1" t="s">
        <v>2</v>
      </c>
      <c r="B3" s="2"/>
      <c r="C3" s="3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20.25" x14ac:dyDescent="0.3">
      <c r="A4" s="6" t="s">
        <v>3</v>
      </c>
      <c r="B4" s="7"/>
      <c r="C4" s="8"/>
      <c r="D4" s="8"/>
      <c r="E4" s="8"/>
      <c r="F4" s="8"/>
      <c r="G4" s="8"/>
      <c r="H4" s="8"/>
      <c r="I4" s="8"/>
      <c r="J4" s="8"/>
      <c r="K4" s="9"/>
      <c r="L4" s="9"/>
      <c r="M4" s="9"/>
      <c r="N4" s="9"/>
      <c r="O4" s="9"/>
      <c r="P4" s="4"/>
      <c r="Q4" s="4"/>
      <c r="R4" s="4"/>
    </row>
    <row r="5" spans="1:18" ht="20.25" x14ac:dyDescent="0.3">
      <c r="A5" s="10" t="s">
        <v>4</v>
      </c>
      <c r="B5" s="11"/>
      <c r="C5" s="12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30.75" x14ac:dyDescent="0.45">
      <c r="A6" s="10"/>
      <c r="B6" s="11"/>
      <c r="C6" s="70" t="s">
        <v>5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</row>
    <row r="7" spans="1:18" ht="20.25" x14ac:dyDescent="0.3">
      <c r="A7" s="10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spans="1:18" ht="24.75" x14ac:dyDescent="0.45">
      <c r="A8" s="14" t="s">
        <v>6</v>
      </c>
      <c r="B8" s="15"/>
      <c r="C8" s="16"/>
      <c r="D8" s="17"/>
      <c r="E8" s="18"/>
      <c r="F8" s="4"/>
      <c r="G8" s="4"/>
      <c r="H8" s="9"/>
      <c r="I8" s="9"/>
      <c r="J8" s="4"/>
      <c r="K8" s="4"/>
      <c r="L8" s="4"/>
      <c r="M8" s="4"/>
      <c r="N8" s="4"/>
      <c r="O8" s="4"/>
      <c r="P8" s="4"/>
      <c r="Q8" s="4"/>
      <c r="R8" s="4"/>
    </row>
    <row r="9" spans="1:18" ht="22.5" x14ac:dyDescent="0.45">
      <c r="A9" s="14" t="s">
        <v>7</v>
      </c>
      <c r="B9" s="15"/>
      <c r="C9" s="16"/>
      <c r="D9" s="17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19">
        <v>14464436.442142252</v>
      </c>
      <c r="R9" s="20">
        <f>+Q33/K33</f>
        <v>8.0000002074052521</v>
      </c>
    </row>
    <row r="10" spans="1:18" ht="22.5" x14ac:dyDescent="0.45">
      <c r="A10" s="15"/>
      <c r="B10" s="15"/>
      <c r="C10" s="16"/>
      <c r="D10" s="17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ht="16.5" x14ac:dyDescent="0.3">
      <c r="A11" s="21"/>
      <c r="B11" s="21"/>
      <c r="C11" s="4"/>
      <c r="D11" s="22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ht="16.5" thickBot="1" x14ac:dyDescent="0.3">
      <c r="A12" s="5"/>
      <c r="B12" s="5"/>
      <c r="C12" s="23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24">
        <f>+R33/Q9</f>
        <v>1.0000001077026233</v>
      </c>
    </row>
    <row r="13" spans="1:18" ht="54.75" thickBot="1" x14ac:dyDescent="0.3">
      <c r="A13" s="25"/>
      <c r="B13" s="26" t="s">
        <v>8</v>
      </c>
      <c r="C13" s="27" t="s">
        <v>9</v>
      </c>
      <c r="D13" s="28" t="s">
        <v>10</v>
      </c>
      <c r="E13" s="26" t="s">
        <v>11</v>
      </c>
      <c r="F13" s="26" t="s">
        <v>12</v>
      </c>
      <c r="G13" s="26" t="s">
        <v>13</v>
      </c>
      <c r="H13" s="26" t="s">
        <v>14</v>
      </c>
      <c r="I13" s="26" t="s">
        <v>15</v>
      </c>
      <c r="J13" s="26" t="s">
        <v>16</v>
      </c>
      <c r="K13" s="26" t="s">
        <v>17</v>
      </c>
      <c r="L13" s="26" t="s">
        <v>18</v>
      </c>
      <c r="M13" s="29" t="s">
        <v>19</v>
      </c>
      <c r="N13" s="29" t="s">
        <v>20</v>
      </c>
      <c r="O13" s="30" t="s">
        <v>21</v>
      </c>
      <c r="P13" s="26" t="s">
        <v>22</v>
      </c>
      <c r="Q13" s="26" t="s">
        <v>23</v>
      </c>
      <c r="R13" s="26" t="s">
        <v>24</v>
      </c>
    </row>
    <row r="14" spans="1:18" ht="18.75" thickBot="1" x14ac:dyDescent="0.3">
      <c r="A14" s="31" t="s">
        <v>25</v>
      </c>
      <c r="B14" s="32"/>
      <c r="C14" s="33" t="s">
        <v>26</v>
      </c>
      <c r="D14" s="33" t="s">
        <v>26</v>
      </c>
      <c r="E14" s="33" t="s">
        <v>27</v>
      </c>
      <c r="F14" s="33" t="s">
        <v>27</v>
      </c>
      <c r="G14" s="33" t="s">
        <v>27</v>
      </c>
      <c r="H14" s="33" t="s">
        <v>27</v>
      </c>
      <c r="I14" s="33" t="s">
        <v>27</v>
      </c>
      <c r="J14" s="33" t="s">
        <v>27</v>
      </c>
      <c r="K14" s="33" t="s">
        <v>27</v>
      </c>
      <c r="L14" s="33" t="s">
        <v>27</v>
      </c>
      <c r="M14" s="33" t="s">
        <v>27</v>
      </c>
      <c r="N14" s="33" t="s">
        <v>27</v>
      </c>
      <c r="O14" s="33" t="s">
        <v>27</v>
      </c>
      <c r="P14" s="33" t="s">
        <v>27</v>
      </c>
      <c r="Q14" s="33" t="s">
        <v>26</v>
      </c>
      <c r="R14" s="34"/>
    </row>
    <row r="15" spans="1:18" ht="18.75" thickBot="1" x14ac:dyDescent="0.3">
      <c r="A15" s="26" t="s">
        <v>28</v>
      </c>
      <c r="B15" s="35" t="s">
        <v>29</v>
      </c>
      <c r="C15" s="36">
        <f>+E15*12</f>
        <v>6510722868</v>
      </c>
      <c r="D15" s="37">
        <f>+Q15</f>
        <v>4883042151</v>
      </c>
      <c r="E15" s="38">
        <v>542560239</v>
      </c>
      <c r="F15" s="38">
        <v>542560239</v>
      </c>
      <c r="G15" s="38">
        <f>108512048+434048191</f>
        <v>542560239</v>
      </c>
      <c r="H15" s="39">
        <v>542560239</v>
      </c>
      <c r="I15" s="38">
        <v>542560239</v>
      </c>
      <c r="J15" s="40">
        <v>542560239</v>
      </c>
      <c r="K15" s="40">
        <v>542560239</v>
      </c>
      <c r="L15" s="40">
        <v>542560239</v>
      </c>
      <c r="M15" s="38">
        <v>542560239</v>
      </c>
      <c r="N15" s="38"/>
      <c r="O15" s="38"/>
      <c r="P15" s="38"/>
      <c r="Q15" s="41">
        <f t="shared" ref="Q15:Q45" si="0">SUM(E15:P15)</f>
        <v>4883042151</v>
      </c>
      <c r="R15" s="41">
        <f>+D15-Q15</f>
        <v>0</v>
      </c>
    </row>
    <row r="16" spans="1:18" ht="18.75" thickBot="1" x14ac:dyDescent="0.3">
      <c r="A16" s="26" t="s">
        <v>30</v>
      </c>
      <c r="B16" s="35" t="s">
        <v>29</v>
      </c>
      <c r="C16" s="42">
        <f>+E16*12</f>
        <v>57667716</v>
      </c>
      <c r="D16" s="43">
        <f>SUM(E16:P16)</f>
        <v>43250787</v>
      </c>
      <c r="E16" s="44">
        <v>4805643</v>
      </c>
      <c r="F16" s="44">
        <v>4805643</v>
      </c>
      <c r="G16" s="44">
        <v>4805643</v>
      </c>
      <c r="H16" s="45">
        <v>4805643</v>
      </c>
      <c r="I16" s="44">
        <v>4805643</v>
      </c>
      <c r="J16" s="46">
        <v>4805643</v>
      </c>
      <c r="K16" s="46">
        <v>4805643</v>
      </c>
      <c r="L16" s="46">
        <v>4805643</v>
      </c>
      <c r="M16" s="44">
        <v>4805643</v>
      </c>
      <c r="N16" s="44"/>
      <c r="O16" s="44"/>
      <c r="P16" s="44"/>
      <c r="Q16" s="47">
        <f t="shared" si="0"/>
        <v>43250787</v>
      </c>
      <c r="R16" s="41">
        <f t="shared" ref="R16:R46" si="1">+D16-Q16</f>
        <v>0</v>
      </c>
    </row>
    <row r="17" spans="1:18" ht="18.75" thickBot="1" x14ac:dyDescent="0.3">
      <c r="A17" s="26" t="s">
        <v>31</v>
      </c>
      <c r="B17" s="35" t="s">
        <v>29</v>
      </c>
      <c r="C17" s="42">
        <f t="shared" ref="C17:C20" si="2">+E17*12</f>
        <v>30569196</v>
      </c>
      <c r="D17" s="43">
        <f>SUM(E17:P17)</f>
        <v>22926897</v>
      </c>
      <c r="E17" s="44">
        <f>2547433</f>
        <v>2547433</v>
      </c>
      <c r="F17" s="44">
        <v>2547433</v>
      </c>
      <c r="G17" s="44">
        <v>2547433</v>
      </c>
      <c r="H17" s="45">
        <v>2547433</v>
      </c>
      <c r="I17" s="44">
        <v>2547433</v>
      </c>
      <c r="J17" s="46">
        <v>2547433</v>
      </c>
      <c r="K17" s="46">
        <v>2547433</v>
      </c>
      <c r="L17" s="46">
        <v>2547433</v>
      </c>
      <c r="M17" s="44">
        <v>2547433</v>
      </c>
      <c r="N17" s="44"/>
      <c r="O17" s="44"/>
      <c r="P17" s="44"/>
      <c r="Q17" s="47">
        <f t="shared" si="0"/>
        <v>22926897</v>
      </c>
      <c r="R17" s="41">
        <f t="shared" si="1"/>
        <v>0</v>
      </c>
    </row>
    <row r="18" spans="1:18" ht="18.75" thickBot="1" x14ac:dyDescent="0.3">
      <c r="A18" s="26" t="s">
        <v>32</v>
      </c>
      <c r="B18" s="35"/>
      <c r="C18" s="42"/>
      <c r="D18" s="43">
        <f>+E18</f>
        <v>4922576</v>
      </c>
      <c r="E18" s="44">
        <v>4922576</v>
      </c>
      <c r="F18" s="44"/>
      <c r="G18" s="44"/>
      <c r="H18" s="45"/>
      <c r="I18" s="44"/>
      <c r="J18" s="46"/>
      <c r="K18" s="46"/>
      <c r="L18" s="46"/>
      <c r="M18" s="44"/>
      <c r="N18" s="44"/>
      <c r="O18" s="44"/>
      <c r="P18" s="44"/>
      <c r="Q18" s="47">
        <f t="shared" si="0"/>
        <v>4922576</v>
      </c>
      <c r="R18" s="41">
        <f t="shared" si="1"/>
        <v>0</v>
      </c>
    </row>
    <row r="19" spans="1:18" ht="18.75" thickBot="1" x14ac:dyDescent="0.3">
      <c r="A19" s="26" t="s">
        <v>33</v>
      </c>
      <c r="B19" s="35" t="s">
        <v>29</v>
      </c>
      <c r="C19" s="42">
        <f t="shared" si="2"/>
        <v>7084680</v>
      </c>
      <c r="D19" s="43">
        <f t="shared" ref="D19:D20" si="3">SUM(E19:P19)</f>
        <v>8994218</v>
      </c>
      <c r="E19" s="44">
        <v>590390</v>
      </c>
      <c r="F19" s="44">
        <v>590391</v>
      </c>
      <c r="G19" s="44">
        <v>590391</v>
      </c>
      <c r="H19" s="45">
        <v>590391</v>
      </c>
      <c r="I19" s="44">
        <v>817204</v>
      </c>
      <c r="J19" s="46">
        <v>817204</v>
      </c>
      <c r="K19" s="46">
        <v>3390177</v>
      </c>
      <c r="L19" s="46">
        <v>804035</v>
      </c>
      <c r="M19" s="44">
        <v>804035</v>
      </c>
      <c r="N19" s="44"/>
      <c r="O19" s="44"/>
      <c r="P19" s="44"/>
      <c r="Q19" s="47">
        <f t="shared" si="0"/>
        <v>8994218</v>
      </c>
      <c r="R19" s="41">
        <f t="shared" si="1"/>
        <v>0</v>
      </c>
    </row>
    <row r="20" spans="1:18" ht="18.75" thickBot="1" x14ac:dyDescent="0.3">
      <c r="A20" s="26" t="s">
        <v>34</v>
      </c>
      <c r="B20" s="35" t="s">
        <v>29</v>
      </c>
      <c r="C20" s="42">
        <f t="shared" si="2"/>
        <v>29417256</v>
      </c>
      <c r="D20" s="43">
        <f t="shared" si="3"/>
        <v>22062942</v>
      </c>
      <c r="E20" s="44">
        <v>2451438</v>
      </c>
      <c r="F20" s="44">
        <v>2451438</v>
      </c>
      <c r="G20" s="44">
        <v>2451438</v>
      </c>
      <c r="H20" s="45">
        <v>2451438</v>
      </c>
      <c r="I20" s="44">
        <v>2451438</v>
      </c>
      <c r="J20" s="46">
        <v>2451438</v>
      </c>
      <c r="K20" s="46">
        <v>2451438</v>
      </c>
      <c r="L20" s="46">
        <v>2451438</v>
      </c>
      <c r="M20" s="44">
        <v>2451438</v>
      </c>
      <c r="N20" s="44"/>
      <c r="O20" s="44"/>
      <c r="P20" s="44"/>
      <c r="Q20" s="47">
        <f t="shared" si="0"/>
        <v>22062942</v>
      </c>
      <c r="R20" s="41">
        <f t="shared" si="1"/>
        <v>0</v>
      </c>
    </row>
    <row r="21" spans="1:18" ht="18.75" thickBot="1" x14ac:dyDescent="0.3">
      <c r="A21" s="26" t="s">
        <v>35</v>
      </c>
      <c r="B21" s="35">
        <v>1077</v>
      </c>
      <c r="C21" s="42">
        <v>64388950</v>
      </c>
      <c r="D21" s="43">
        <f>+H21+17368767</f>
        <v>49563242</v>
      </c>
      <c r="E21" s="44"/>
      <c r="F21" s="44"/>
      <c r="G21" s="44"/>
      <c r="H21" s="45">
        <v>32194475</v>
      </c>
      <c r="I21" s="44"/>
      <c r="J21" s="46"/>
      <c r="K21" s="46"/>
      <c r="L21" s="46"/>
      <c r="M21" s="44"/>
      <c r="N21" s="44"/>
      <c r="O21" s="44"/>
      <c r="P21" s="44"/>
      <c r="Q21" s="47">
        <f t="shared" si="0"/>
        <v>32194475</v>
      </c>
      <c r="R21" s="41">
        <f t="shared" si="1"/>
        <v>17368767</v>
      </c>
    </row>
    <row r="22" spans="1:18" ht="18.75" thickBot="1" x14ac:dyDescent="0.3">
      <c r="A22" s="26" t="s">
        <v>36</v>
      </c>
      <c r="B22" s="35" t="s">
        <v>29</v>
      </c>
      <c r="C22" s="42">
        <f>+E22*12</f>
        <v>-27689628</v>
      </c>
      <c r="D22" s="43">
        <f>SUM(E22:P22)</f>
        <v>-23635170</v>
      </c>
      <c r="E22" s="44">
        <v>-2307469</v>
      </c>
      <c r="F22" s="44">
        <v>-2307469</v>
      </c>
      <c r="G22" s="44">
        <v>-2307469</v>
      </c>
      <c r="H22" s="45">
        <v>-2307469</v>
      </c>
      <c r="I22" s="44">
        <v>-2307469</v>
      </c>
      <c r="J22" s="46">
        <v>-2307469</v>
      </c>
      <c r="K22" s="46">
        <v>-3263452</v>
      </c>
      <c r="L22" s="46">
        <v>-3263452</v>
      </c>
      <c r="M22" s="44">
        <v>-3263452</v>
      </c>
      <c r="N22" s="44"/>
      <c r="O22" s="44"/>
      <c r="P22" s="44"/>
      <c r="Q22" s="47">
        <f t="shared" si="0"/>
        <v>-23635170</v>
      </c>
      <c r="R22" s="41">
        <f t="shared" si="1"/>
        <v>0</v>
      </c>
    </row>
    <row r="23" spans="1:18" ht="18.75" thickBot="1" x14ac:dyDescent="0.3">
      <c r="A23" s="26" t="s">
        <v>37</v>
      </c>
      <c r="B23" s="35" t="s">
        <v>29</v>
      </c>
      <c r="C23" s="42"/>
      <c r="D23" s="43">
        <f t="shared" ref="D23" si="4">SUM(E23:P23)</f>
        <v>141072669</v>
      </c>
      <c r="E23" s="44"/>
      <c r="F23" s="44"/>
      <c r="G23" s="44"/>
      <c r="H23" s="45"/>
      <c r="I23" s="44"/>
      <c r="J23" s="46">
        <v>141072669</v>
      </c>
      <c r="K23" s="46"/>
      <c r="L23" s="46"/>
      <c r="M23" s="44"/>
      <c r="N23" s="44"/>
      <c r="O23" s="44"/>
      <c r="P23" s="44"/>
      <c r="Q23" s="47">
        <f t="shared" si="0"/>
        <v>141072669</v>
      </c>
      <c r="R23" s="41">
        <f t="shared" si="1"/>
        <v>0</v>
      </c>
    </row>
    <row r="24" spans="1:18" ht="18.75" thickBot="1" x14ac:dyDescent="0.3">
      <c r="A24" s="26" t="s">
        <v>38</v>
      </c>
      <c r="B24" s="35">
        <v>3681</v>
      </c>
      <c r="C24" s="42">
        <v>9383192</v>
      </c>
      <c r="D24" s="43">
        <v>6568234</v>
      </c>
      <c r="E24" s="44"/>
      <c r="F24" s="44"/>
      <c r="G24" s="44"/>
      <c r="H24" s="45"/>
      <c r="I24" s="44"/>
      <c r="J24" s="46"/>
      <c r="K24" s="46"/>
      <c r="L24" s="46"/>
      <c r="M24" s="44"/>
      <c r="N24" s="44"/>
      <c r="O24" s="44"/>
      <c r="P24" s="44"/>
      <c r="Q24" s="47">
        <f t="shared" si="0"/>
        <v>0</v>
      </c>
      <c r="R24" s="41">
        <f t="shared" si="1"/>
        <v>6568234</v>
      </c>
    </row>
    <row r="25" spans="1:18" ht="18.75" thickBot="1" x14ac:dyDescent="0.3">
      <c r="A25" s="26" t="s">
        <v>39</v>
      </c>
      <c r="B25" s="35" t="s">
        <v>40</v>
      </c>
      <c r="C25" s="42">
        <f>134754965+134754965</f>
        <v>269509930</v>
      </c>
      <c r="D25" s="43">
        <f>67377483+H25+22459161+22459161+22459161+22459161+22459161</f>
        <v>202132448</v>
      </c>
      <c r="E25" s="44"/>
      <c r="F25" s="48"/>
      <c r="G25" s="44">
        <v>67377483</v>
      </c>
      <c r="H25" s="45">
        <v>22459160</v>
      </c>
      <c r="I25" s="44"/>
      <c r="J25" s="46"/>
      <c r="K25" s="46">
        <v>22459161</v>
      </c>
      <c r="L25" s="46">
        <v>44918322</v>
      </c>
      <c r="M25" s="44">
        <v>22459161</v>
      </c>
      <c r="N25" s="44"/>
      <c r="O25" s="44"/>
      <c r="P25" s="44"/>
      <c r="Q25" s="47">
        <f>SUM(E25:P25)</f>
        <v>179673287</v>
      </c>
      <c r="R25" s="41">
        <f>+D25-Q25</f>
        <v>22459161</v>
      </c>
    </row>
    <row r="26" spans="1:18" ht="18.75" thickBot="1" x14ac:dyDescent="0.3">
      <c r="A26" s="26" t="s">
        <v>41</v>
      </c>
      <c r="B26" s="35" t="s">
        <v>29</v>
      </c>
      <c r="C26" s="42">
        <f>+F26*12</f>
        <v>16853208</v>
      </c>
      <c r="D26" s="43">
        <f>SUM(E26:P26)</f>
        <v>14461599</v>
      </c>
      <c r="E26" s="44"/>
      <c r="F26" s="44">
        <v>1404434</v>
      </c>
      <c r="G26" s="44">
        <f>8141646+702217</f>
        <v>8843863</v>
      </c>
      <c r="H26" s="45">
        <v>702217</v>
      </c>
      <c r="I26" s="44">
        <v>702217</v>
      </c>
      <c r="J26" s="46">
        <v>702217</v>
      </c>
      <c r="K26" s="46">
        <v>702217</v>
      </c>
      <c r="L26" s="46">
        <v>702217</v>
      </c>
      <c r="M26" s="44">
        <v>702217</v>
      </c>
      <c r="N26" s="44"/>
      <c r="O26" s="44"/>
      <c r="P26" s="44"/>
      <c r="Q26" s="47">
        <f t="shared" si="0"/>
        <v>14461599</v>
      </c>
      <c r="R26" s="41">
        <f t="shared" si="1"/>
        <v>0</v>
      </c>
    </row>
    <row r="27" spans="1:18" ht="18.75" thickBot="1" x14ac:dyDescent="0.3">
      <c r="A27" s="26" t="s">
        <v>42</v>
      </c>
      <c r="B27" s="35">
        <v>1306</v>
      </c>
      <c r="C27" s="49">
        <v>8780800</v>
      </c>
      <c r="D27" s="43">
        <v>6146560</v>
      </c>
      <c r="E27" s="44"/>
      <c r="F27" s="44"/>
      <c r="G27" s="44">
        <v>6146560</v>
      </c>
      <c r="H27" s="45"/>
      <c r="I27" s="44"/>
      <c r="J27" s="46"/>
      <c r="K27" s="46"/>
      <c r="L27" s="46"/>
      <c r="M27" s="44"/>
      <c r="N27" s="44"/>
      <c r="O27" s="44"/>
      <c r="P27" s="44"/>
      <c r="Q27" s="47">
        <f t="shared" si="0"/>
        <v>6146560</v>
      </c>
      <c r="R27" s="41">
        <f t="shared" si="1"/>
        <v>0</v>
      </c>
    </row>
    <row r="28" spans="1:18" ht="18.75" thickBot="1" x14ac:dyDescent="0.3">
      <c r="A28" s="26" t="s">
        <v>43</v>
      </c>
      <c r="B28" s="35">
        <v>1306</v>
      </c>
      <c r="C28" s="49">
        <v>171816086</v>
      </c>
      <c r="D28" s="43">
        <v>120271260.19999999</v>
      </c>
      <c r="E28" s="44"/>
      <c r="F28" s="44"/>
      <c r="G28" s="44">
        <v>120271260.19999999</v>
      </c>
      <c r="H28" s="45"/>
      <c r="I28" s="44"/>
      <c r="J28" s="46"/>
      <c r="K28" s="46"/>
      <c r="L28" s="46"/>
      <c r="M28" s="44"/>
      <c r="N28" s="44"/>
      <c r="O28" s="44"/>
      <c r="P28" s="44"/>
      <c r="Q28" s="47">
        <f t="shared" si="0"/>
        <v>120271260.19999999</v>
      </c>
      <c r="R28" s="41">
        <f t="shared" si="1"/>
        <v>0</v>
      </c>
    </row>
    <row r="29" spans="1:18" ht="18.75" thickBot="1" x14ac:dyDescent="0.3">
      <c r="A29" s="26" t="s">
        <v>44</v>
      </c>
      <c r="B29" s="35">
        <v>1878</v>
      </c>
      <c r="C29" s="42">
        <v>13798889</v>
      </c>
      <c r="D29" s="43">
        <f>+J29+1242942</f>
        <v>7584178</v>
      </c>
      <c r="E29" s="44"/>
      <c r="F29" s="44"/>
      <c r="G29" s="44"/>
      <c r="H29" s="45"/>
      <c r="I29" s="44"/>
      <c r="J29" s="46">
        <v>6341236</v>
      </c>
      <c r="K29" s="46"/>
      <c r="L29" s="46">
        <v>1242942</v>
      </c>
      <c r="M29" s="44"/>
      <c r="N29" s="44"/>
      <c r="O29" s="44"/>
      <c r="P29" s="44"/>
      <c r="Q29" s="47">
        <f t="shared" si="0"/>
        <v>7584178</v>
      </c>
      <c r="R29" s="41">
        <f t="shared" si="1"/>
        <v>0</v>
      </c>
    </row>
    <row r="30" spans="1:18" ht="36.75" thickBot="1" x14ac:dyDescent="0.3">
      <c r="A30" s="26" t="s">
        <v>45</v>
      </c>
      <c r="B30" s="35">
        <v>4223</v>
      </c>
      <c r="C30" s="42">
        <v>1562040</v>
      </c>
      <c r="D30" s="43"/>
      <c r="E30" s="44"/>
      <c r="F30" s="44"/>
      <c r="G30" s="44"/>
      <c r="H30" s="45"/>
      <c r="I30" s="44"/>
      <c r="J30" s="46"/>
      <c r="K30" s="46"/>
      <c r="L30" s="46"/>
      <c r="M30" s="44"/>
      <c r="N30" s="44"/>
      <c r="O30" s="44"/>
      <c r="P30" s="44"/>
      <c r="Q30" s="47">
        <f t="shared" si="0"/>
        <v>0</v>
      </c>
      <c r="R30" s="41">
        <f t="shared" si="1"/>
        <v>0</v>
      </c>
    </row>
    <row r="31" spans="1:18" ht="18.75" thickBot="1" x14ac:dyDescent="0.3">
      <c r="A31" s="26" t="s">
        <v>46</v>
      </c>
      <c r="B31" s="35">
        <v>1072</v>
      </c>
      <c r="C31" s="51">
        <v>1487576</v>
      </c>
      <c r="D31" s="43">
        <v>1041303.2</v>
      </c>
      <c r="E31" s="44"/>
      <c r="F31" s="44"/>
      <c r="G31" s="44">
        <v>1041303.2</v>
      </c>
      <c r="H31" s="45"/>
      <c r="I31" s="44"/>
      <c r="J31" s="46"/>
      <c r="K31" s="46"/>
      <c r="L31" s="46"/>
      <c r="M31" s="44"/>
      <c r="N31" s="44"/>
      <c r="O31" s="44"/>
      <c r="P31" s="44"/>
      <c r="Q31" s="47">
        <f t="shared" si="0"/>
        <v>1041303.2</v>
      </c>
      <c r="R31" s="41">
        <f t="shared" si="1"/>
        <v>0</v>
      </c>
    </row>
    <row r="32" spans="1:18" ht="18.75" thickBot="1" x14ac:dyDescent="0.3">
      <c r="A32" s="26" t="s">
        <v>47</v>
      </c>
      <c r="B32" s="35">
        <v>1072</v>
      </c>
      <c r="C32" s="42">
        <v>69457500</v>
      </c>
      <c r="D32" s="43">
        <v>48620250</v>
      </c>
      <c r="E32" s="44"/>
      <c r="F32" s="44"/>
      <c r="G32" s="44">
        <v>48620250</v>
      </c>
      <c r="H32" s="45"/>
      <c r="I32" s="44"/>
      <c r="J32" s="46"/>
      <c r="K32" s="46"/>
      <c r="L32" s="46"/>
      <c r="M32" s="44"/>
      <c r="N32" s="44"/>
      <c r="O32" s="44"/>
      <c r="P32" s="44"/>
      <c r="Q32" s="47">
        <f t="shared" si="0"/>
        <v>48620250</v>
      </c>
      <c r="R32" s="41">
        <f t="shared" si="1"/>
        <v>0</v>
      </c>
    </row>
    <row r="33" spans="1:18" ht="18.75" thickBot="1" x14ac:dyDescent="0.3">
      <c r="A33" s="26" t="s">
        <v>48</v>
      </c>
      <c r="B33" s="35">
        <v>1874</v>
      </c>
      <c r="C33" s="50">
        <v>107012143</v>
      </c>
      <c r="D33" s="43">
        <f>+H33+2+14464437+23100204+20293103+14464437</f>
        <v>130179929</v>
      </c>
      <c r="E33" s="44"/>
      <c r="F33" s="44"/>
      <c r="G33" s="44"/>
      <c r="H33" s="45">
        <v>57857746</v>
      </c>
      <c r="I33" s="44">
        <v>14464437</v>
      </c>
      <c r="J33" s="46"/>
      <c r="K33" s="46">
        <v>14464436</v>
      </c>
      <c r="L33" s="46"/>
      <c r="M33" s="44">
        <v>28928872</v>
      </c>
      <c r="N33" s="44"/>
      <c r="O33" s="44"/>
      <c r="P33" s="44"/>
      <c r="Q33" s="47">
        <f t="shared" si="0"/>
        <v>115715491</v>
      </c>
      <c r="R33" s="41">
        <f t="shared" si="1"/>
        <v>14464438</v>
      </c>
    </row>
    <row r="34" spans="1:18" ht="18.75" thickBot="1" x14ac:dyDescent="0.3">
      <c r="A34" s="26" t="s">
        <v>49</v>
      </c>
      <c r="B34" s="35">
        <v>1830</v>
      </c>
      <c r="C34" s="52">
        <v>36122450</v>
      </c>
      <c r="D34" s="43">
        <f>+H34</f>
        <v>25285715</v>
      </c>
      <c r="E34" s="44"/>
      <c r="F34" s="44"/>
      <c r="G34" s="44"/>
      <c r="H34" s="45">
        <f>+C34*0.7</f>
        <v>25285715</v>
      </c>
      <c r="I34" s="44"/>
      <c r="J34" s="46"/>
      <c r="K34" s="46"/>
      <c r="L34" s="46"/>
      <c r="M34" s="44"/>
      <c r="N34" s="44"/>
      <c r="O34" s="44"/>
      <c r="P34" s="44"/>
      <c r="Q34" s="47">
        <f t="shared" si="0"/>
        <v>25285715</v>
      </c>
      <c r="R34" s="41">
        <f t="shared" si="1"/>
        <v>0</v>
      </c>
    </row>
    <row r="35" spans="1:18" ht="18.75" thickBot="1" x14ac:dyDescent="0.3">
      <c r="A35" s="26" t="s">
        <v>50</v>
      </c>
      <c r="B35" s="35">
        <v>1830</v>
      </c>
      <c r="C35" s="52">
        <v>6251595</v>
      </c>
      <c r="D35" s="43">
        <f>+H35</f>
        <v>4376116.5</v>
      </c>
      <c r="E35" s="44"/>
      <c r="F35" s="44"/>
      <c r="G35" s="44"/>
      <c r="H35" s="45">
        <f>+C35*0.7</f>
        <v>4376116.5</v>
      </c>
      <c r="I35" s="44"/>
      <c r="J35" s="46"/>
      <c r="K35" s="46"/>
      <c r="L35" s="46"/>
      <c r="M35" s="44"/>
      <c r="N35" s="44"/>
      <c r="O35" s="44"/>
      <c r="P35" s="44"/>
      <c r="Q35" s="47">
        <f t="shared" si="0"/>
        <v>4376116.5</v>
      </c>
      <c r="R35" s="41">
        <f t="shared" si="1"/>
        <v>0</v>
      </c>
    </row>
    <row r="36" spans="1:18" ht="18.75" thickBot="1" x14ac:dyDescent="0.3">
      <c r="A36" s="26" t="s">
        <v>51</v>
      </c>
      <c r="B36" s="35">
        <v>1830</v>
      </c>
      <c r="C36" s="52">
        <v>7483772</v>
      </c>
      <c r="D36" s="43">
        <f>+H36</f>
        <v>5238640.3999999994</v>
      </c>
      <c r="E36" s="44"/>
      <c r="F36" s="44"/>
      <c r="G36" s="44"/>
      <c r="H36" s="45">
        <f>+C36*0.7</f>
        <v>5238640.3999999994</v>
      </c>
      <c r="I36" s="44"/>
      <c r="J36" s="46"/>
      <c r="K36" s="46"/>
      <c r="L36" s="46"/>
      <c r="M36" s="44"/>
      <c r="N36" s="44"/>
      <c r="O36" s="44"/>
      <c r="P36" s="44"/>
      <c r="Q36" s="47">
        <f t="shared" si="0"/>
        <v>5238640.3999999994</v>
      </c>
      <c r="R36" s="41">
        <f t="shared" si="1"/>
        <v>0</v>
      </c>
    </row>
    <row r="37" spans="1:18" ht="18.75" thickBot="1" x14ac:dyDescent="0.3">
      <c r="A37" s="26" t="s">
        <v>52</v>
      </c>
      <c r="B37" s="35">
        <v>1830</v>
      </c>
      <c r="C37" s="52">
        <v>125031900</v>
      </c>
      <c r="D37" s="43">
        <f>+H37</f>
        <v>87522330</v>
      </c>
      <c r="E37" s="44"/>
      <c r="F37" s="44"/>
      <c r="G37" s="44"/>
      <c r="H37" s="45">
        <f>+C37*0.7</f>
        <v>87522330</v>
      </c>
      <c r="I37" s="44"/>
      <c r="J37" s="46"/>
      <c r="K37" s="46"/>
      <c r="L37" s="46"/>
      <c r="M37" s="44"/>
      <c r="N37" s="44"/>
      <c r="O37" s="44"/>
      <c r="P37" s="44"/>
      <c r="Q37" s="47">
        <f t="shared" si="0"/>
        <v>87522330</v>
      </c>
      <c r="R37" s="41">
        <f t="shared" si="1"/>
        <v>0</v>
      </c>
    </row>
    <row r="38" spans="1:18" ht="18.75" thickBot="1" x14ac:dyDescent="0.3">
      <c r="A38" s="26" t="s">
        <v>53</v>
      </c>
      <c r="B38" s="35">
        <v>1073</v>
      </c>
      <c r="C38" s="49">
        <v>15008871</v>
      </c>
      <c r="D38" s="43">
        <v>10506210</v>
      </c>
      <c r="E38" s="44"/>
      <c r="F38" s="44"/>
      <c r="G38" s="44"/>
      <c r="H38" s="45"/>
      <c r="I38" s="44">
        <v>10506210</v>
      </c>
      <c r="J38" s="46"/>
      <c r="K38" s="46"/>
      <c r="L38" s="46"/>
      <c r="M38" s="44"/>
      <c r="N38" s="44"/>
      <c r="O38" s="44"/>
      <c r="P38" s="44"/>
      <c r="Q38" s="47">
        <f t="shared" si="0"/>
        <v>10506210</v>
      </c>
      <c r="R38" s="41">
        <f t="shared" si="1"/>
        <v>0</v>
      </c>
    </row>
    <row r="39" spans="1:18" ht="18.75" thickBot="1" x14ac:dyDescent="0.3">
      <c r="A39" s="26" t="s">
        <v>54</v>
      </c>
      <c r="B39" s="35">
        <v>1876</v>
      </c>
      <c r="C39" s="42">
        <v>37916111</v>
      </c>
      <c r="D39" s="43">
        <v>26541278</v>
      </c>
      <c r="E39" s="44"/>
      <c r="F39" s="44"/>
      <c r="G39" s="44"/>
      <c r="H39" s="45"/>
      <c r="I39" s="44"/>
      <c r="J39" s="46">
        <v>26541278</v>
      </c>
      <c r="K39" s="46"/>
      <c r="L39" s="46"/>
      <c r="M39" s="44"/>
      <c r="N39" s="44"/>
      <c r="O39" s="44"/>
      <c r="P39" s="44"/>
      <c r="Q39" s="47">
        <f t="shared" si="0"/>
        <v>26541278</v>
      </c>
      <c r="R39" s="41">
        <f t="shared" si="1"/>
        <v>0</v>
      </c>
    </row>
    <row r="40" spans="1:18" ht="18.75" thickBot="1" x14ac:dyDescent="0.3">
      <c r="A40" s="26" t="s">
        <v>55</v>
      </c>
      <c r="B40" s="35">
        <v>1075</v>
      </c>
      <c r="C40" s="42">
        <v>11603237</v>
      </c>
      <c r="D40" s="43">
        <v>8122265</v>
      </c>
      <c r="E40" s="44"/>
      <c r="F40" s="44"/>
      <c r="G40" s="44">
        <v>8122265</v>
      </c>
      <c r="H40" s="45"/>
      <c r="I40" s="44"/>
      <c r="J40" s="46"/>
      <c r="K40" s="46"/>
      <c r="L40" s="46"/>
      <c r="M40" s="44"/>
      <c r="N40" s="44"/>
      <c r="O40" s="44"/>
      <c r="P40" s="44"/>
      <c r="Q40" s="47">
        <f t="shared" si="0"/>
        <v>8122265</v>
      </c>
      <c r="R40" s="41">
        <f t="shared" si="1"/>
        <v>0</v>
      </c>
    </row>
    <row r="41" spans="1:18" ht="18.75" thickBot="1" x14ac:dyDescent="0.3">
      <c r="A41" s="26" t="s">
        <v>56</v>
      </c>
      <c r="B41" s="35">
        <v>1308</v>
      </c>
      <c r="C41" s="42">
        <v>29672159</v>
      </c>
      <c r="D41" s="43">
        <f>20504812+265699</f>
        <v>20770511</v>
      </c>
      <c r="E41" s="44"/>
      <c r="F41" s="44"/>
      <c r="G41" s="44"/>
      <c r="H41" s="45">
        <v>20504812</v>
      </c>
      <c r="I41" s="44"/>
      <c r="J41" s="46"/>
      <c r="K41" s="46"/>
      <c r="L41" s="46">
        <v>265699</v>
      </c>
      <c r="M41" s="44"/>
      <c r="N41" s="44"/>
      <c r="O41" s="44"/>
      <c r="P41" s="44"/>
      <c r="Q41" s="47">
        <f t="shared" si="0"/>
        <v>20770511</v>
      </c>
      <c r="R41" s="41">
        <f t="shared" si="1"/>
        <v>0</v>
      </c>
    </row>
    <row r="42" spans="1:18" ht="18.75" thickBot="1" x14ac:dyDescent="0.3">
      <c r="A42" s="26" t="s">
        <v>57</v>
      </c>
      <c r="B42" s="35">
        <v>2291</v>
      </c>
      <c r="C42" s="42">
        <v>18308240</v>
      </c>
      <c r="D42" s="43">
        <v>12815768</v>
      </c>
      <c r="E42" s="44"/>
      <c r="F42" s="44"/>
      <c r="G42" s="44"/>
      <c r="H42" s="45"/>
      <c r="I42" s="44"/>
      <c r="J42" s="46"/>
      <c r="K42" s="46"/>
      <c r="L42" s="46">
        <v>12815768</v>
      </c>
      <c r="M42" s="44"/>
      <c r="N42" s="44"/>
      <c r="O42" s="44"/>
      <c r="P42" s="44"/>
      <c r="Q42" s="47">
        <f t="shared" si="0"/>
        <v>12815768</v>
      </c>
      <c r="R42" s="41">
        <f t="shared" si="1"/>
        <v>0</v>
      </c>
    </row>
    <row r="43" spans="1:18" ht="18.75" thickBot="1" x14ac:dyDescent="0.3">
      <c r="A43" s="26" t="s">
        <v>58</v>
      </c>
      <c r="B43" s="35">
        <v>1074</v>
      </c>
      <c r="C43" s="42">
        <v>35320453</v>
      </c>
      <c r="D43" s="43">
        <v>24724317</v>
      </c>
      <c r="E43" s="44"/>
      <c r="F43" s="44"/>
      <c r="G43" s="44">
        <v>24724317</v>
      </c>
      <c r="H43" s="45"/>
      <c r="I43" s="44"/>
      <c r="J43" s="46"/>
      <c r="K43" s="46"/>
      <c r="L43" s="46"/>
      <c r="M43" s="44"/>
      <c r="N43" s="44"/>
      <c r="O43" s="44"/>
      <c r="P43" s="44"/>
      <c r="Q43" s="47">
        <f t="shared" si="0"/>
        <v>24724317</v>
      </c>
      <c r="R43" s="41">
        <f t="shared" si="1"/>
        <v>0</v>
      </c>
    </row>
    <row r="44" spans="1:18" ht="18.75" thickBot="1" x14ac:dyDescent="0.3">
      <c r="A44" s="26" t="s">
        <v>59</v>
      </c>
      <c r="B44" s="35">
        <v>4293</v>
      </c>
      <c r="C44" s="42">
        <v>8230676</v>
      </c>
      <c r="D44" s="43">
        <f>+C44*0.7</f>
        <v>5761473.1999999993</v>
      </c>
      <c r="E44" s="44"/>
      <c r="F44" s="44"/>
      <c r="G44" s="44"/>
      <c r="H44" s="45"/>
      <c r="I44" s="44"/>
      <c r="J44" s="46"/>
      <c r="K44" s="46"/>
      <c r="L44" s="46">
        <v>5761473</v>
      </c>
      <c r="M44" s="44"/>
      <c r="N44" s="44"/>
      <c r="O44" s="44"/>
      <c r="P44" s="44"/>
      <c r="Q44" s="47">
        <f t="shared" si="0"/>
        <v>5761473</v>
      </c>
      <c r="R44" s="41">
        <f t="shared" si="1"/>
        <v>0.19999999925494194</v>
      </c>
    </row>
    <row r="45" spans="1:18" ht="18.75" thickBot="1" x14ac:dyDescent="0.3">
      <c r="A45" s="26" t="s">
        <v>60</v>
      </c>
      <c r="B45" s="35">
        <v>1301</v>
      </c>
      <c r="C45" s="42">
        <v>28490287</v>
      </c>
      <c r="D45" s="43">
        <v>19943201</v>
      </c>
      <c r="E45" s="44"/>
      <c r="F45" s="44"/>
      <c r="G45" s="44">
        <v>19943201</v>
      </c>
      <c r="H45" s="45"/>
      <c r="I45" s="44"/>
      <c r="J45" s="46"/>
      <c r="K45" s="46"/>
      <c r="L45" s="46"/>
      <c r="M45" s="44"/>
      <c r="N45" s="44"/>
      <c r="O45" s="44"/>
      <c r="P45" s="44"/>
      <c r="Q45" s="47">
        <f t="shared" si="0"/>
        <v>19943201</v>
      </c>
      <c r="R45" s="41">
        <f t="shared" si="1"/>
        <v>0</v>
      </c>
    </row>
    <row r="46" spans="1:18" ht="18.75" thickBot="1" x14ac:dyDescent="0.3">
      <c r="A46" s="26" t="s">
        <v>61</v>
      </c>
      <c r="B46" s="35">
        <v>1891</v>
      </c>
      <c r="C46" s="42">
        <v>64256000</v>
      </c>
      <c r="D46" s="43">
        <f>+H46</f>
        <v>44979200</v>
      </c>
      <c r="E46" s="44"/>
      <c r="F46" s="44"/>
      <c r="G46" s="44"/>
      <c r="H46" s="45">
        <v>44979200</v>
      </c>
      <c r="I46" s="44"/>
      <c r="J46" s="46"/>
      <c r="K46" s="46"/>
      <c r="L46" s="46"/>
      <c r="M46" s="44"/>
      <c r="N46" s="44"/>
      <c r="O46" s="44"/>
      <c r="P46" s="44"/>
      <c r="Q46" s="47">
        <f t="shared" ref="Q46:Q60" si="5">SUM(E46:P46)</f>
        <v>44979200</v>
      </c>
      <c r="R46" s="41">
        <f t="shared" si="1"/>
        <v>0</v>
      </c>
    </row>
    <row r="47" spans="1:18" ht="18.75" thickBot="1" x14ac:dyDescent="0.3">
      <c r="A47" s="26" t="s">
        <v>62</v>
      </c>
      <c r="B47" s="35">
        <v>1071</v>
      </c>
      <c r="C47" s="42">
        <v>29093000</v>
      </c>
      <c r="D47" s="43">
        <v>20365100</v>
      </c>
      <c r="E47" s="44"/>
      <c r="F47" s="44"/>
      <c r="G47" s="44">
        <v>20365100</v>
      </c>
      <c r="H47" s="45"/>
      <c r="I47" s="44"/>
      <c r="J47" s="46"/>
      <c r="K47" s="46"/>
      <c r="L47" s="46"/>
      <c r="M47" s="44"/>
      <c r="N47" s="44"/>
      <c r="O47" s="44"/>
      <c r="P47" s="44"/>
      <c r="Q47" s="47">
        <f t="shared" si="5"/>
        <v>20365100</v>
      </c>
      <c r="R47" s="41">
        <f t="shared" ref="R47:R60" si="6">+D47-Q47</f>
        <v>0</v>
      </c>
    </row>
    <row r="48" spans="1:18" ht="36.75" thickBot="1" x14ac:dyDescent="0.3">
      <c r="A48" s="26" t="s">
        <v>63</v>
      </c>
      <c r="B48" s="35">
        <v>2945</v>
      </c>
      <c r="C48" s="42">
        <v>1034536</v>
      </c>
      <c r="D48" s="43">
        <f>+J48</f>
        <v>1034536</v>
      </c>
      <c r="E48" s="44"/>
      <c r="F48" s="44"/>
      <c r="G48" s="44"/>
      <c r="H48" s="45"/>
      <c r="I48" s="44"/>
      <c r="J48" s="46">
        <v>1034536</v>
      </c>
      <c r="K48" s="46"/>
      <c r="L48" s="46"/>
      <c r="M48" s="44"/>
      <c r="N48" s="44"/>
      <c r="O48" s="44"/>
      <c r="P48" s="44"/>
      <c r="Q48" s="47">
        <f t="shared" si="5"/>
        <v>1034536</v>
      </c>
      <c r="R48" s="41">
        <f t="shared" si="6"/>
        <v>0</v>
      </c>
    </row>
    <row r="49" spans="1:18" ht="18.75" thickBot="1" x14ac:dyDescent="0.3">
      <c r="A49" s="26" t="s">
        <v>64</v>
      </c>
      <c r="B49" s="35" t="s">
        <v>65</v>
      </c>
      <c r="C49" s="42">
        <f>24860200+138432</f>
        <v>24998632</v>
      </c>
      <c r="D49" s="43">
        <f>+H49+96902</f>
        <v>17499042</v>
      </c>
      <c r="E49" s="44"/>
      <c r="F49" s="44"/>
      <c r="G49" s="44"/>
      <c r="H49" s="45">
        <v>17402140</v>
      </c>
      <c r="I49" s="44"/>
      <c r="J49" s="46">
        <v>96902</v>
      </c>
      <c r="K49" s="46"/>
      <c r="L49" s="46"/>
      <c r="M49" s="44"/>
      <c r="N49" s="44"/>
      <c r="O49" s="44"/>
      <c r="P49" s="44"/>
      <c r="Q49" s="47">
        <f t="shared" si="5"/>
        <v>17499042</v>
      </c>
      <c r="R49" s="41">
        <f t="shared" si="6"/>
        <v>0</v>
      </c>
    </row>
    <row r="50" spans="1:18" ht="18.75" thickBot="1" x14ac:dyDescent="0.3">
      <c r="A50" s="26" t="s">
        <v>66</v>
      </c>
      <c r="B50" s="35">
        <v>2485</v>
      </c>
      <c r="C50" s="42">
        <v>21222273</v>
      </c>
      <c r="D50" s="43"/>
      <c r="E50" s="44"/>
      <c r="F50" s="44"/>
      <c r="G50" s="44"/>
      <c r="H50" s="45"/>
      <c r="I50" s="44"/>
      <c r="J50" s="46"/>
      <c r="K50" s="46"/>
      <c r="L50" s="46"/>
      <c r="M50" s="44"/>
      <c r="N50" s="44"/>
      <c r="O50" s="44"/>
      <c r="P50" s="44"/>
      <c r="Q50" s="47">
        <f t="shared" si="5"/>
        <v>0</v>
      </c>
      <c r="R50" s="41">
        <f t="shared" si="6"/>
        <v>0</v>
      </c>
    </row>
    <row r="51" spans="1:18" ht="36.75" thickBot="1" x14ac:dyDescent="0.3">
      <c r="A51" s="26" t="s">
        <v>67</v>
      </c>
      <c r="B51" s="35">
        <v>5001</v>
      </c>
      <c r="C51" s="42">
        <v>10835586</v>
      </c>
      <c r="D51" s="43">
        <v>10835586</v>
      </c>
      <c r="E51" s="44"/>
      <c r="F51" s="44"/>
      <c r="G51" s="44"/>
      <c r="H51" s="45"/>
      <c r="I51" s="44"/>
      <c r="J51" s="46"/>
      <c r="K51" s="46"/>
      <c r="L51" s="46"/>
      <c r="M51" s="44">
        <v>3611862</v>
      </c>
      <c r="N51" s="44"/>
      <c r="O51" s="44"/>
      <c r="P51" s="44"/>
      <c r="Q51" s="47">
        <f t="shared" si="5"/>
        <v>3611862</v>
      </c>
      <c r="R51" s="41">
        <f t="shared" si="6"/>
        <v>7223724</v>
      </c>
    </row>
    <row r="52" spans="1:18" ht="36.75" thickBot="1" x14ac:dyDescent="0.3">
      <c r="A52" s="26" t="s">
        <v>68</v>
      </c>
      <c r="B52" s="35">
        <v>4222</v>
      </c>
      <c r="C52" s="42">
        <v>4318777</v>
      </c>
      <c r="D52" s="43"/>
      <c r="E52" s="44"/>
      <c r="F52" s="44"/>
      <c r="G52" s="44"/>
      <c r="H52" s="45"/>
      <c r="I52" s="44"/>
      <c r="J52" s="46"/>
      <c r="K52" s="46"/>
      <c r="L52" s="46"/>
      <c r="M52" s="44"/>
      <c r="N52" s="44"/>
      <c r="O52" s="44"/>
      <c r="P52" s="44"/>
      <c r="Q52" s="47">
        <f t="shared" si="5"/>
        <v>0</v>
      </c>
      <c r="R52" s="41">
        <f t="shared" si="6"/>
        <v>0</v>
      </c>
    </row>
    <row r="53" spans="1:18" ht="18.75" thickBot="1" x14ac:dyDescent="0.3">
      <c r="A53" s="26" t="s">
        <v>69</v>
      </c>
      <c r="B53" s="35">
        <v>1299</v>
      </c>
      <c r="C53" s="42">
        <v>97971965</v>
      </c>
      <c r="D53" s="43">
        <v>68580376</v>
      </c>
      <c r="E53" s="44"/>
      <c r="F53" s="44"/>
      <c r="G53" s="44">
        <v>68580376</v>
      </c>
      <c r="H53" s="45"/>
      <c r="I53" s="44"/>
      <c r="J53" s="46"/>
      <c r="K53" s="46"/>
      <c r="L53" s="46"/>
      <c r="M53" s="44"/>
      <c r="N53" s="44"/>
      <c r="O53" s="44"/>
      <c r="P53" s="44"/>
      <c r="Q53" s="47">
        <f t="shared" si="5"/>
        <v>68580376</v>
      </c>
      <c r="R53" s="41">
        <f t="shared" si="6"/>
        <v>0</v>
      </c>
    </row>
    <row r="54" spans="1:18" ht="36.75" thickBot="1" x14ac:dyDescent="0.3">
      <c r="A54" s="26" t="s">
        <v>70</v>
      </c>
      <c r="B54" s="35">
        <v>1076</v>
      </c>
      <c r="C54" s="42">
        <v>17997852</v>
      </c>
      <c r="D54" s="43">
        <v>12598496</v>
      </c>
      <c r="E54" s="44"/>
      <c r="F54" s="44"/>
      <c r="G54" s="44">
        <v>12598496</v>
      </c>
      <c r="H54" s="45"/>
      <c r="I54" s="44"/>
      <c r="J54" s="46"/>
      <c r="K54" s="46"/>
      <c r="L54" s="46"/>
      <c r="M54" s="44"/>
      <c r="N54" s="44"/>
      <c r="O54" s="44"/>
      <c r="P54" s="44"/>
      <c r="Q54" s="47">
        <f t="shared" si="5"/>
        <v>12598496</v>
      </c>
      <c r="R54" s="41">
        <f t="shared" si="6"/>
        <v>0</v>
      </c>
    </row>
    <row r="55" spans="1:18" ht="18.75" thickBot="1" x14ac:dyDescent="0.3">
      <c r="A55" s="26" t="s">
        <v>71</v>
      </c>
      <c r="B55" s="35">
        <v>3680</v>
      </c>
      <c r="C55" s="42">
        <v>29778363</v>
      </c>
      <c r="D55" s="43">
        <v>20845045</v>
      </c>
      <c r="E55" s="44"/>
      <c r="F55" s="44"/>
      <c r="G55" s="44"/>
      <c r="H55" s="45"/>
      <c r="I55" s="44"/>
      <c r="J55" s="46">
        <v>20844854</v>
      </c>
      <c r="K55" s="46"/>
      <c r="L55" s="46"/>
      <c r="M55" s="44"/>
      <c r="N55" s="44"/>
      <c r="O55" s="44"/>
      <c r="P55" s="44"/>
      <c r="Q55" s="47">
        <f t="shared" si="5"/>
        <v>20844854</v>
      </c>
      <c r="R55" s="41">
        <f t="shared" si="6"/>
        <v>191</v>
      </c>
    </row>
    <row r="56" spans="1:18" ht="18.75" thickBot="1" x14ac:dyDescent="0.3">
      <c r="A56" s="26" t="s">
        <v>72</v>
      </c>
      <c r="B56" s="35"/>
      <c r="C56" s="42">
        <f>+E56*12</f>
        <v>21538152</v>
      </c>
      <c r="D56" s="43">
        <f>+E56+F56+G56+H56+I56+J56+K56+L56</f>
        <v>14358775</v>
      </c>
      <c r="E56" s="44">
        <v>1794846</v>
      </c>
      <c r="F56" s="44">
        <v>1794847</v>
      </c>
      <c r="G56" s="44">
        <v>1794847</v>
      </c>
      <c r="H56" s="45">
        <v>1794847</v>
      </c>
      <c r="I56" s="44">
        <v>1794847</v>
      </c>
      <c r="J56" s="46">
        <v>1794847</v>
      </c>
      <c r="K56" s="46">
        <v>1794847</v>
      </c>
      <c r="L56" s="46">
        <v>1794847</v>
      </c>
      <c r="M56" s="44">
        <v>1794847</v>
      </c>
      <c r="N56" s="44"/>
      <c r="O56" s="44"/>
      <c r="P56" s="44"/>
      <c r="Q56" s="47">
        <f t="shared" si="5"/>
        <v>16153622</v>
      </c>
      <c r="R56" s="41">
        <f t="shared" si="6"/>
        <v>-1794847</v>
      </c>
    </row>
    <row r="57" spans="1:18" ht="18.75" thickBot="1" x14ac:dyDescent="0.3">
      <c r="A57" s="26" t="s">
        <v>73</v>
      </c>
      <c r="B57" s="35" t="s">
        <v>74</v>
      </c>
      <c r="C57" s="42">
        <v>341654549</v>
      </c>
      <c r="D57" s="43">
        <v>239158184</v>
      </c>
      <c r="E57" s="44"/>
      <c r="F57" s="44"/>
      <c r="G57" s="44"/>
      <c r="H57" s="45"/>
      <c r="I57" s="44"/>
      <c r="J57" s="46"/>
      <c r="K57" s="46">
        <v>239158184</v>
      </c>
      <c r="L57" s="46"/>
      <c r="M57" s="44"/>
      <c r="N57" s="44"/>
      <c r="O57" s="44"/>
      <c r="P57" s="44"/>
      <c r="Q57" s="47">
        <f>SUBTOTAL(9,E57:K57)</f>
        <v>239158184</v>
      </c>
      <c r="R57" s="41">
        <f>+D57-Q57</f>
        <v>0</v>
      </c>
    </row>
    <row r="58" spans="1:18" ht="36.75" thickBot="1" x14ac:dyDescent="0.3">
      <c r="A58" s="26" t="s">
        <v>75</v>
      </c>
      <c r="B58" s="35"/>
      <c r="C58" s="42"/>
      <c r="D58" s="43">
        <f>+G58</f>
        <v>20000000</v>
      </c>
      <c r="E58" s="44"/>
      <c r="F58" s="44"/>
      <c r="G58" s="44">
        <v>20000000</v>
      </c>
      <c r="H58" s="45"/>
      <c r="I58" s="44"/>
      <c r="J58" s="46"/>
      <c r="K58" s="46"/>
      <c r="L58" s="46"/>
      <c r="M58" s="44"/>
      <c r="N58" s="44"/>
      <c r="O58" s="44"/>
      <c r="P58" s="44"/>
      <c r="Q58" s="47">
        <f t="shared" si="5"/>
        <v>20000000</v>
      </c>
      <c r="R58" s="41">
        <f t="shared" si="6"/>
        <v>0</v>
      </c>
    </row>
    <row r="59" spans="1:18" ht="18.75" thickBot="1" x14ac:dyDescent="0.3">
      <c r="A59" s="26" t="s">
        <v>76</v>
      </c>
      <c r="B59" s="35">
        <v>1890</v>
      </c>
      <c r="C59" s="42">
        <v>24107100</v>
      </c>
      <c r="D59" s="43">
        <v>16874970</v>
      </c>
      <c r="E59" s="44"/>
      <c r="F59" s="44"/>
      <c r="G59" s="44">
        <v>16874970</v>
      </c>
      <c r="H59" s="45"/>
      <c r="I59" s="44"/>
      <c r="J59" s="46"/>
      <c r="K59" s="46"/>
      <c r="L59" s="46"/>
      <c r="M59" s="44"/>
      <c r="N59" s="44"/>
      <c r="O59" s="44"/>
      <c r="P59" s="44"/>
      <c r="Q59" s="47">
        <f t="shared" si="5"/>
        <v>16874970</v>
      </c>
      <c r="R59" s="41">
        <f t="shared" si="6"/>
        <v>0</v>
      </c>
    </row>
    <row r="60" spans="1:18" ht="18.75" thickBot="1" x14ac:dyDescent="0.3">
      <c r="A60" s="26" t="s">
        <v>77</v>
      </c>
      <c r="B60" s="35" t="s">
        <v>29</v>
      </c>
      <c r="C60" s="42"/>
      <c r="D60" s="43">
        <f t="shared" ref="D60" si="7">SUM(E60:P60)</f>
        <v>569417991</v>
      </c>
      <c r="E60" s="44"/>
      <c r="F60" s="44"/>
      <c r="G60" s="44"/>
      <c r="H60" s="45">
        <f>87051004+100572962</f>
        <v>187623966</v>
      </c>
      <c r="I60" s="44"/>
      <c r="J60" s="46">
        <f>88882787+102689837</f>
        <v>191572624</v>
      </c>
      <c r="K60" s="46"/>
      <c r="L60" s="46"/>
      <c r="M60" s="44">
        <f>88255870+101965531</f>
        <v>190221401</v>
      </c>
      <c r="N60" s="44"/>
      <c r="O60" s="44"/>
      <c r="P60" s="44"/>
      <c r="Q60" s="47">
        <f t="shared" si="5"/>
        <v>569417991</v>
      </c>
      <c r="R60" s="41">
        <f t="shared" si="6"/>
        <v>0</v>
      </c>
    </row>
    <row r="61" spans="1:18" ht="18.75" thickBot="1" x14ac:dyDescent="0.3">
      <c r="A61" s="53" t="s">
        <v>78</v>
      </c>
      <c r="B61" s="54"/>
      <c r="C61" s="55">
        <f t="shared" ref="C61:R61" si="8">SUM(C15:C60)</f>
        <v>8390068938</v>
      </c>
      <c r="D61" s="56">
        <f t="shared" si="8"/>
        <v>6997361199.499999</v>
      </c>
      <c r="E61" s="57">
        <f t="shared" si="8"/>
        <v>557365096</v>
      </c>
      <c r="F61" s="57">
        <f t="shared" si="8"/>
        <v>553846956</v>
      </c>
      <c r="G61" s="57">
        <f t="shared" si="8"/>
        <v>995951966.4000001</v>
      </c>
      <c r="H61" s="57">
        <f t="shared" si="8"/>
        <v>1058589039.9</v>
      </c>
      <c r="I61" s="57">
        <f t="shared" si="8"/>
        <v>578342199</v>
      </c>
      <c r="J61" s="57">
        <f t="shared" si="8"/>
        <v>940875651</v>
      </c>
      <c r="K61" s="57">
        <f t="shared" si="8"/>
        <v>831070323</v>
      </c>
      <c r="L61" s="57">
        <f t="shared" si="8"/>
        <v>617406604</v>
      </c>
      <c r="M61" s="57">
        <f t="shared" si="8"/>
        <v>797623696</v>
      </c>
      <c r="N61" s="57">
        <f t="shared" si="8"/>
        <v>0</v>
      </c>
      <c r="O61" s="57">
        <f t="shared" si="8"/>
        <v>0</v>
      </c>
      <c r="P61" s="57">
        <f t="shared" si="8"/>
        <v>0</v>
      </c>
      <c r="Q61" s="57">
        <f t="shared" si="8"/>
        <v>6931071531.2999992</v>
      </c>
      <c r="R61" s="57">
        <f t="shared" si="8"/>
        <v>66289668.200000003</v>
      </c>
    </row>
    <row r="62" spans="1:18" ht="15.75" x14ac:dyDescent="0.25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9"/>
      <c r="R62" s="59"/>
    </row>
    <row r="63" spans="1:18" ht="15.75" x14ac:dyDescent="0.25">
      <c r="A63" s="58"/>
      <c r="B63" s="58"/>
      <c r="C63" s="60"/>
      <c r="D63" s="61"/>
      <c r="E63" s="61"/>
      <c r="F63" s="61"/>
      <c r="G63" s="61"/>
      <c r="H63" s="58"/>
      <c r="I63" s="58"/>
      <c r="J63" s="58"/>
      <c r="K63" s="58"/>
      <c r="L63" s="58"/>
      <c r="M63" s="58"/>
      <c r="N63" s="58"/>
      <c r="O63" s="58"/>
      <c r="P63" s="58"/>
      <c r="Q63" s="59"/>
      <c r="R63" s="59"/>
    </row>
    <row r="64" spans="1:18" ht="16.5" thickBot="1" x14ac:dyDescent="0.3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9"/>
      <c r="R64" s="59"/>
    </row>
    <row r="65" spans="1:18" ht="15.75" x14ac:dyDescent="0.25">
      <c r="A65" s="62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4"/>
      <c r="R65" s="65"/>
    </row>
    <row r="66" spans="1:18" ht="18" x14ac:dyDescent="0.25">
      <c r="A66" s="71" t="s">
        <v>79</v>
      </c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3"/>
    </row>
    <row r="67" spans="1:18" ht="18" x14ac:dyDescent="0.25">
      <c r="A67" s="71" t="s">
        <v>80</v>
      </c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3"/>
    </row>
    <row r="68" spans="1:18" ht="18" x14ac:dyDescent="0.25">
      <c r="A68" s="71" t="s">
        <v>81</v>
      </c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3"/>
    </row>
    <row r="69" spans="1:18" ht="15.75" thickBot="1" x14ac:dyDescent="0.3">
      <c r="A69" s="66"/>
      <c r="B69" s="67"/>
      <c r="C69" s="68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9"/>
    </row>
  </sheetData>
  <mergeCells count="4">
    <mergeCell ref="C6:R6"/>
    <mergeCell ref="A66:R66"/>
    <mergeCell ref="A67:R67"/>
    <mergeCell ref="A68:R6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2019-10-01T15:48:12Z</dcterms:created>
  <dcterms:modified xsi:type="dcterms:W3CDTF">2019-10-03T11:49:23Z</dcterms:modified>
</cp:coreProperties>
</file>